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dministration SH\Prefekt\Organisation &amp; ledning &amp; rum\Krishantering\"/>
    </mc:Choice>
  </mc:AlternateContent>
  <xr:revisionPtr revIDLastSave="0" documentId="13_ncr:1_{8C0FBE90-678B-466E-B34C-29F78BAD2651}" xr6:coauthVersionLast="45" xr6:coauthVersionMax="45" xr10:uidLastSave="{00000000-0000-0000-0000-000000000000}"/>
  <bookViews>
    <workbookView xWindow="-120" yWindow="-120" windowWidth="29040" windowHeight="15840" activeTab="1" xr2:uid="{B8B31636-0066-4774-B3CC-D834AD62916E}"/>
  </bookViews>
  <sheets>
    <sheet name="Beräkningsmodell coronadöd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3" i="2" l="1"/>
  <c r="B23" i="2"/>
  <c r="C3" i="2"/>
  <c r="C5" i="2"/>
  <c r="C7" i="2"/>
  <c r="C9" i="2"/>
  <c r="C11" i="2"/>
  <c r="C13" i="2"/>
  <c r="C15" i="2"/>
  <c r="C17" i="2"/>
  <c r="C20" i="2"/>
  <c r="E71" i="1" l="1"/>
  <c r="E69" i="1"/>
  <c r="E67" i="1"/>
  <c r="E65" i="1"/>
  <c r="D59" i="1"/>
  <c r="E62" i="1"/>
  <c r="N46" i="2" l="1"/>
  <c r="H42" i="2"/>
  <c r="D38" i="2"/>
  <c r="D37" i="2"/>
  <c r="D36" i="2"/>
  <c r="D35" i="2"/>
  <c r="D34" i="2"/>
  <c r="D33" i="2"/>
  <c r="D32" i="2"/>
  <c r="D31" i="2"/>
  <c r="D30" i="2"/>
  <c r="D42" i="2" s="1"/>
  <c r="E49" i="1"/>
  <c r="E50" i="1"/>
  <c r="E51" i="1"/>
  <c r="E52" i="1"/>
  <c r="E53" i="1"/>
  <c r="E54" i="1"/>
  <c r="E55" i="1"/>
  <c r="E56" i="1"/>
  <c r="E48" i="1"/>
  <c r="E60" i="1" s="1"/>
  <c r="Q23" i="2"/>
  <c r="Q12" i="2"/>
  <c r="Q13" i="2"/>
  <c r="Q14" i="2"/>
  <c r="Q15" i="2"/>
  <c r="Q16" i="2"/>
  <c r="Q17" i="2"/>
  <c r="Q18" i="2"/>
  <c r="Q19" i="2"/>
  <c r="Q11" i="2"/>
  <c r="O12" i="2"/>
  <c r="O13" i="2"/>
  <c r="O14" i="2"/>
  <c r="O15" i="2"/>
  <c r="O16" i="2"/>
  <c r="O17" i="2"/>
  <c r="O18" i="2"/>
  <c r="O19" i="2"/>
  <c r="O23" i="2"/>
  <c r="O11" i="2"/>
  <c r="N23" i="2"/>
  <c r="N12" i="2"/>
  <c r="N13" i="2"/>
  <c r="N14" i="2"/>
  <c r="N15" i="2"/>
  <c r="N16" i="2"/>
  <c r="N17" i="2"/>
  <c r="N18" i="2"/>
  <c r="N19" i="2"/>
  <c r="N11" i="2"/>
  <c r="L23" i="2"/>
  <c r="H23" i="2"/>
  <c r="F23" i="2"/>
  <c r="G23" i="2"/>
  <c r="H12" i="2" l="1"/>
  <c r="H13" i="2"/>
  <c r="H14" i="2"/>
  <c r="H15" i="2"/>
  <c r="H16" i="2"/>
  <c r="H17" i="2"/>
  <c r="H18" i="2"/>
  <c r="H19" i="2"/>
  <c r="H11" i="2"/>
  <c r="K41" i="1"/>
  <c r="L32" i="1"/>
  <c r="L33" i="1"/>
  <c r="L34" i="1"/>
  <c r="L35" i="1"/>
  <c r="L36" i="1"/>
  <c r="L37" i="1"/>
  <c r="L38" i="1"/>
  <c r="L39" i="1"/>
  <c r="L31" i="1"/>
  <c r="M4" i="1"/>
  <c r="M5" i="1"/>
  <c r="M6" i="1"/>
  <c r="M7" i="1"/>
  <c r="M8" i="1"/>
  <c r="M3" i="1"/>
  <c r="L41" i="1" l="1"/>
  <c r="L44" i="1" s="1"/>
  <c r="M14" i="1"/>
  <c r="I32" i="1"/>
  <c r="I36" i="1"/>
  <c r="E32" i="1"/>
  <c r="E33" i="1"/>
  <c r="I33" i="1" s="1"/>
  <c r="E34" i="1"/>
  <c r="I34" i="1" s="1"/>
  <c r="E35" i="1"/>
  <c r="I35" i="1" s="1"/>
  <c r="E36" i="1"/>
  <c r="E37" i="1"/>
  <c r="I37" i="1" s="1"/>
  <c r="E38" i="1"/>
  <c r="I38" i="1" s="1"/>
  <c r="E39" i="1"/>
  <c r="I39" i="1" s="1"/>
  <c r="E31" i="1"/>
  <c r="I31" i="1" s="1"/>
  <c r="I41" i="1" l="1"/>
  <c r="E41" i="1"/>
  <c r="E3" i="1"/>
  <c r="E4" i="1"/>
  <c r="E5" i="1"/>
  <c r="E6" i="1"/>
  <c r="G6" i="1" s="1"/>
  <c r="I6" i="1" s="1"/>
  <c r="E7" i="1"/>
  <c r="G7" i="1" s="1"/>
  <c r="I7" i="1" s="1"/>
  <c r="E8" i="1"/>
  <c r="G5" i="1" l="1"/>
  <c r="I5" i="1" s="1"/>
  <c r="G8" i="1"/>
  <c r="G4" i="1"/>
  <c r="I4" i="1" s="1"/>
  <c r="E14" i="1"/>
  <c r="G3" i="1"/>
  <c r="I3" i="1" s="1"/>
  <c r="G14" i="1" l="1"/>
  <c r="I8" i="1"/>
  <c r="I11" i="1" s="1"/>
</calcChain>
</file>

<file path=xl/sharedStrings.xml><?xml version="1.0" encoding="utf-8"?>
<sst xmlns="http://schemas.openxmlformats.org/spreadsheetml/2006/main" count="140" uniqueCount="88">
  <si>
    <t>40-49</t>
  </si>
  <si>
    <t>50-59</t>
  </si>
  <si>
    <t>60-69</t>
  </si>
  <si>
    <t>70-79</t>
  </si>
  <si>
    <t>80-</t>
  </si>
  <si>
    <t>10-39</t>
  </si>
  <si>
    <t>Förlorade levnadsår</t>
  </si>
  <si>
    <t>* Se www.ourworldindata.org</t>
  </si>
  <si>
    <t>** Refererad i Ekonomistas 17 mars 2020</t>
  </si>
  <si>
    <t>Beräknat antal dödsfall i Sverige</t>
  </si>
  <si>
    <t>1 QUALY brukar värderas till närmare 1 Mkr</t>
  </si>
  <si>
    <t>640 mdr kr motsvarar 12-13 % av BNP</t>
  </si>
  <si>
    <t>BNP 2019 beräknas till strax över 5000 mdr kr enligt Ekonomifakta</t>
  </si>
  <si>
    <t>Återstående levnadsår***</t>
  </si>
  <si>
    <t>*** Antagande: De som dör hade annars levt till 75, alternativt 80 om de redan blivit 70, alternativt två år till. Dvs litet lägre än förväntad medellivslängd</t>
  </si>
  <si>
    <t>Ålder</t>
  </si>
  <si>
    <t>0-9</t>
  </si>
  <si>
    <t>20-29</t>
  </si>
  <si>
    <t>30-39</t>
  </si>
  <si>
    <t>10-19</t>
  </si>
  <si>
    <t xml:space="preserve">Dödlighet enligt kinesisk studie* </t>
  </si>
  <si>
    <t xml:space="preserve">Verity R, Okell LC, Dorigatti I, et al. Estimates of the severity of COVID-19 disease. medRxiv 2020; Available from https://www.medrxiv.org/content/10.1101/2020.03.09.20033357v1. </t>
  </si>
  <si>
    <t>Dödlighet enligt Verity m fl</t>
  </si>
  <si>
    <t>Citerad i Iperial College-studie</t>
  </si>
  <si>
    <t>Summa</t>
  </si>
  <si>
    <t>Befolkning x dödlighet x 0,8 (andel smittade)</t>
  </si>
  <si>
    <t xml:space="preserve">Dödsfall vid 70 % smittade </t>
  </si>
  <si>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</si>
  <si>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</si>
  <si>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</si>
  <si>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</si>
  <si>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</si>
  <si>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</si>
  <si>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</si>
  <si>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</si>
  <si>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</si>
  <si>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</si>
  <si>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</si>
  <si>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</si>
  <si>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</si>
  <si>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70-74</t>
  </si>
  <si>
    <t>65-69</t>
  </si>
  <si>
    <t>75-79</t>
  </si>
  <si>
    <t>80-84</t>
  </si>
  <si>
    <t>85-89</t>
  </si>
  <si>
    <t>90+</t>
  </si>
  <si>
    <t>Dödsfall vid 70% smittade x dödlighet enligt kinesisk studie</t>
  </si>
  <si>
    <t xml:space="preserve">Sverige </t>
  </si>
  <si>
    <t>Storbritannien</t>
  </si>
  <si>
    <t>S</t>
  </si>
  <si>
    <t>UK</t>
  </si>
  <si>
    <t>Lika stor befolkning som Sverige med UKs fördelning</t>
  </si>
  <si>
    <t>Faktor med vilken Imperial College-studien kommer till lägre dödlighet</t>
  </si>
  <si>
    <t>än jag gör när jag tillämpar deras mortalitetstal på varje åldersgrupp</t>
  </si>
  <si>
    <t>Kanske beroende på att de modellerar smittspridning i olika åldrar?</t>
  </si>
  <si>
    <t>Korrektionsfaktor, se föregående sida</t>
  </si>
  <si>
    <t>Antal dödsfall i Sverige, samma andel av befolkningen:</t>
  </si>
  <si>
    <t>Döda i UK</t>
  </si>
  <si>
    <t>Pop i UK</t>
  </si>
  <si>
    <t>Pop i Sve</t>
  </si>
  <si>
    <t>Döda i Sve</t>
  </si>
  <si>
    <t>I bloginlägget benämd Zhonghua m fl</t>
  </si>
  <si>
    <t>Befolkningen i åldersgrupp, 2019, SCB</t>
  </si>
  <si>
    <t xml:space="preserve">Dödsfall vid 100 % smittade </t>
  </si>
  <si>
    <t>"Värde" i Mkr***</t>
  </si>
  <si>
    <t>UK befolkning, miljoner</t>
  </si>
  <si>
    <t>(Obs att 0-9 år inte ingår ovan)</t>
  </si>
  <si>
    <t>(Förlorade levnadsår)</t>
  </si>
  <si>
    <t>(Beräknat antal dödsfall)</t>
  </si>
  <si>
    <t>(="värde" i Mkr)</t>
  </si>
  <si>
    <t>UK befolkning</t>
  </si>
  <si>
    <t>Uppskattat antal dödsfall i Sverige som beror på annan befolkningsstruktur än den i Storbritannien</t>
  </si>
  <si>
    <t>Totalt</t>
  </si>
  <si>
    <t>Uppskattat antal dödsfall i Sverige vid samma befolkningsstruktur som i Storbritannien</t>
  </si>
  <si>
    <t>Uppskattat antal dödsfall i Sverige med samma befolkningsstruktur som i Storbritannien och justerad med faktor 0,892 enligt ovan</t>
  </si>
  <si>
    <t>Minskad skattning pga faktor; se kommentar ovan för möjlig förklaring</t>
  </si>
  <si>
    <t>Antal dödsfall i Sverige om samma proportion som 510 000 dödsfall i Storbritannien i förhållande till dess befolkning</t>
  </si>
  <si>
    <t>Oförklarad skillnad. Interaktionseffekter mellan åldersstruktur och smittspridningsmodellering?</t>
  </si>
  <si>
    <t>Befolkning i Storbritannien</t>
  </si>
  <si>
    <t>Källa: Statista, UK mid-year population by age group, 2018</t>
  </si>
  <si>
    <t>www.statista.com/statistics/281174/uk-population-by-age/</t>
  </si>
  <si>
    <t>Andel i åldersklass, %</t>
  </si>
  <si>
    <t>Miljoner invånare</t>
  </si>
  <si>
    <t>Sverige med UKs fördelning</t>
  </si>
  <si>
    <t>Befolkning i Sve</t>
  </si>
  <si>
    <t>Antal</t>
  </si>
  <si>
    <t>Miljoner</t>
  </si>
  <si>
    <t>UK Pop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</si>
</sst>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" fontId="0" fillId="0" borderId="0" xfId="0" applyNumberFormat="1"/>
    <xf numFmtId="49" fontId="0" fillId="0" borderId="0" xfId="0" applyNumberFormat="1"/>
    <xf numFmtId="0" fontId="0" fillId="2" borderId="0" xfId="0" applyFill="1"/>
    <xf numFmtId="1" fontId="0" fillId="2" borderId="0" xfId="0" applyNumberFormat="1" applyFill="1"/>
    <xf numFmtId="2" fontId="0" fillId="0" borderId="0" xfId="0" applyNumberFormat="1"/>
    <xf numFmtId="164" fontId="0" fillId="0" borderId="0" xfId="0" applyNumberFormat="1"/>
    <xf numFmtId="0" fontId="0" fillId="3" borderId="0" xfId="0" applyFill="1"/>
    <xf numFmtId="0" fontId="1" fillId="0" borderId="0" xfId="1"/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Befolkning per åldersgrupp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Sheet1!$K$10</c:f>
              <c:strCache>
                <c:ptCount val="1"/>
                <c:pt idx="0">
                  <c:v>Sverige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Sheet1!$J$11:$J$19</c:f>
              <c:strCache>
                <c:ptCount val="9"/>
                <c:pt idx="0">
                  <c:v>0-9</c:v>
                </c:pt>
                <c:pt idx="1">
                  <c:v>10-19</c:v>
                </c:pt>
                <c:pt idx="2">
                  <c:v>20-29</c:v>
                </c:pt>
                <c:pt idx="3">
                  <c:v>30-39</c:v>
                </c:pt>
                <c:pt idx="4">
                  <c:v>40-49</c:v>
                </c:pt>
                <c:pt idx="5">
                  <c:v>50-59</c:v>
                </c:pt>
                <c:pt idx="6">
                  <c:v>60-69</c:v>
                </c:pt>
                <c:pt idx="7">
                  <c:v>70-79</c:v>
                </c:pt>
                <c:pt idx="8">
                  <c:v>80-</c:v>
                </c:pt>
              </c:strCache>
            </c:strRef>
          </c:cat>
          <c:val>
            <c:numRef>
              <c:f>Sheet1!$K$11:$K$19</c:f>
              <c:numCache>
                <c:formatCode>0.00</c:formatCode>
                <c:ptCount val="9"/>
                <c:pt idx="0">
                  <c:v>1.2258020000000001</c:v>
                </c:pt>
                <c:pt idx="1">
                  <c:v>1.1779280000000001</c:v>
                </c:pt>
                <c:pt idx="2">
                  <c:v>1.3273950000000001</c:v>
                </c:pt>
                <c:pt idx="3">
                  <c:v>1.3664890000000001</c:v>
                </c:pt>
                <c:pt idx="4">
                  <c:v>1.2983549999999999</c:v>
                </c:pt>
                <c:pt idx="5">
                  <c:v>1.297863</c:v>
                </c:pt>
                <c:pt idx="6">
                  <c:v>1.108438</c:v>
                </c:pt>
                <c:pt idx="7">
                  <c:v>0.98901300000000003</c:v>
                </c:pt>
                <c:pt idx="8">
                  <c:v>0.53630599999999995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C3-4778-AA86-9ADFD1995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5849240"/>
        <c:axId val="335846944"/>
      </c:lineChart>
      <c:lineChart>
        <c:grouping val="standard"/>
        <c:varyColors val="0"/>
        <c:ser>
          <c:idx val="1"/>
          <c:order val="1"/>
          <c:tx>
            <c:strRef>
              <c:f>Sheet1!$L$10</c:f>
              <c:strCache>
                <c:ptCount val="1"/>
                <c:pt idx="0">
                  <c:v>Storbritannien</c:v>
                </c:pt>
              </c:strCache>
            </c:strRef>
          </c:tx>
          <c:spPr>
            <a:ln w="28575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Sheet1!$J$11:$J$19</c:f>
              <c:strCache>
                <c:ptCount val="9"/>
                <c:pt idx="0">
                  <c:v>0-9</c:v>
                </c:pt>
                <c:pt idx="1">
                  <c:v>10-19</c:v>
                </c:pt>
                <c:pt idx="2">
                  <c:v>20-29</c:v>
                </c:pt>
                <c:pt idx="3">
                  <c:v>30-39</c:v>
                </c:pt>
                <c:pt idx="4">
                  <c:v>40-49</c:v>
                </c:pt>
                <c:pt idx="5">
                  <c:v>50-59</c:v>
                </c:pt>
                <c:pt idx="6">
                  <c:v>60-69</c:v>
                </c:pt>
                <c:pt idx="7">
                  <c:v>70-79</c:v>
                </c:pt>
                <c:pt idx="8">
                  <c:v>80-</c:v>
                </c:pt>
              </c:strCache>
            </c:strRef>
          </c:cat>
          <c:val>
            <c:numRef>
              <c:f>Sheet1!$L$11:$L$19</c:f>
              <c:numCache>
                <c:formatCode>General</c:formatCode>
                <c:ptCount val="9"/>
                <c:pt idx="0">
                  <c:v>8.0500000000000007</c:v>
                </c:pt>
                <c:pt idx="1">
                  <c:v>7.5299999999999994</c:v>
                </c:pt>
                <c:pt idx="2">
                  <c:v>8.7100000000000009</c:v>
                </c:pt>
                <c:pt idx="3">
                  <c:v>8.83</c:v>
                </c:pt>
                <c:pt idx="4">
                  <c:v>8.5</c:v>
                </c:pt>
                <c:pt idx="5">
                  <c:v>8.9600000000000009</c:v>
                </c:pt>
                <c:pt idx="6">
                  <c:v>7.07</c:v>
                </c:pt>
                <c:pt idx="7">
                  <c:v>5.49</c:v>
                </c:pt>
                <c:pt idx="8">
                  <c:v>3.27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DC3-4778-AA86-9ADFD1995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44832"/>
        <c:axId val="437051688"/>
      </c:lineChart>
      <c:catAx>
        <c:axId val="335849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5846944"/>
        <c:crosses val="autoZero"/>
        <c:auto val="1"/>
        <c:lblAlgn val="ctr"/>
        <c:lblOffset val="100"/>
        <c:noMultiLvlLbl val="0"/>
      </c:catAx>
      <c:valAx>
        <c:axId val="335846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Miljoner (Sverige)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5849240"/>
        <c:crosses val="autoZero"/>
        <c:crossBetween val="between"/>
      </c:valAx>
      <c:valAx>
        <c:axId val="43705168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Miljoner (Storbritannien)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8544832"/>
        <c:crosses val="max"/>
        <c:crossBetween val="between"/>
      </c:valAx>
      <c:catAx>
        <c:axId val="438544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3705168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Befolkning per åldersgrupp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Sheet1!$K$10</c:f>
              <c:strCache>
                <c:ptCount val="1"/>
                <c:pt idx="0">
                  <c:v>Sverige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Sheet1!$J$11:$J$19</c:f>
              <c:strCache>
                <c:ptCount val="9"/>
                <c:pt idx="0">
                  <c:v>0-9</c:v>
                </c:pt>
                <c:pt idx="1">
                  <c:v>10-19</c:v>
                </c:pt>
                <c:pt idx="2">
                  <c:v>20-29</c:v>
                </c:pt>
                <c:pt idx="3">
                  <c:v>30-39</c:v>
                </c:pt>
                <c:pt idx="4">
                  <c:v>40-49</c:v>
                </c:pt>
                <c:pt idx="5">
                  <c:v>50-59</c:v>
                </c:pt>
                <c:pt idx="6">
                  <c:v>60-69</c:v>
                </c:pt>
                <c:pt idx="7">
                  <c:v>70-79</c:v>
                </c:pt>
                <c:pt idx="8">
                  <c:v>80-</c:v>
                </c:pt>
              </c:strCache>
            </c:strRef>
          </c:cat>
          <c:val>
            <c:numRef>
              <c:f>Sheet1!$K$11:$K$19</c:f>
              <c:numCache>
                <c:formatCode>0.00</c:formatCode>
                <c:ptCount val="9"/>
                <c:pt idx="0">
                  <c:v>1.2258020000000001</c:v>
                </c:pt>
                <c:pt idx="1">
                  <c:v>1.1779280000000001</c:v>
                </c:pt>
                <c:pt idx="2">
                  <c:v>1.3273950000000001</c:v>
                </c:pt>
                <c:pt idx="3">
                  <c:v>1.3664890000000001</c:v>
                </c:pt>
                <c:pt idx="4">
                  <c:v>1.2983549999999999</c:v>
                </c:pt>
                <c:pt idx="5">
                  <c:v>1.297863</c:v>
                </c:pt>
                <c:pt idx="6">
                  <c:v>1.108438</c:v>
                </c:pt>
                <c:pt idx="7">
                  <c:v>0.98901300000000003</c:v>
                </c:pt>
                <c:pt idx="8">
                  <c:v>0.53630599999999995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8C-4766-A821-934C6FFCD7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5849240"/>
        <c:axId val="335846944"/>
      </c:lineChart>
      <c:lineChart>
        <c:grouping val="standard"/>
        <c:varyColors val="0"/>
        <c:ser>
          <c:idx val="1"/>
          <c:order val="1"/>
          <c:tx>
            <c:strRef>
              <c:f>Sheet1!$L$10</c:f>
              <c:strCache>
                <c:ptCount val="1"/>
                <c:pt idx="0">
                  <c:v>Storbritannien</c:v>
                </c:pt>
              </c:strCache>
            </c:strRef>
          </c:tx>
          <c:spPr>
            <a:ln w="28575" cap="rnd">
              <a:solidFill>
                <a:schemeClr val="accent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Sheet1!$J$11:$J$19</c:f>
              <c:strCache>
                <c:ptCount val="9"/>
                <c:pt idx="0">
                  <c:v>0-9</c:v>
                </c:pt>
                <c:pt idx="1">
                  <c:v>10-19</c:v>
                </c:pt>
                <c:pt idx="2">
                  <c:v>20-29</c:v>
                </c:pt>
                <c:pt idx="3">
                  <c:v>30-39</c:v>
                </c:pt>
                <c:pt idx="4">
                  <c:v>40-49</c:v>
                </c:pt>
                <c:pt idx="5">
                  <c:v>50-59</c:v>
                </c:pt>
                <c:pt idx="6">
                  <c:v>60-69</c:v>
                </c:pt>
                <c:pt idx="7">
                  <c:v>70-79</c:v>
                </c:pt>
                <c:pt idx="8">
                  <c:v>80-</c:v>
                </c:pt>
              </c:strCache>
            </c:strRef>
          </c:cat>
          <c:val>
            <c:numRef>
              <c:f>Sheet1!$L$11:$L$19</c:f>
              <c:numCache>
                <c:formatCode>General</c:formatCode>
                <c:ptCount val="9"/>
                <c:pt idx="0">
                  <c:v>8.0500000000000007</c:v>
                </c:pt>
                <c:pt idx="1">
                  <c:v>7.5299999999999994</c:v>
                </c:pt>
                <c:pt idx="2">
                  <c:v>8.7100000000000009</c:v>
                </c:pt>
                <c:pt idx="3">
                  <c:v>8.83</c:v>
                </c:pt>
                <c:pt idx="4">
                  <c:v>8.5</c:v>
                </c:pt>
                <c:pt idx="5">
                  <c:v>8.9600000000000009</c:v>
                </c:pt>
                <c:pt idx="6">
                  <c:v>7.07</c:v>
                </c:pt>
                <c:pt idx="7">
                  <c:v>5.49</c:v>
                </c:pt>
                <c:pt idx="8">
                  <c:v>3.27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28C-4766-A821-934C6FFCD7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44832"/>
        <c:axId val="437051688"/>
      </c:lineChart>
      <c:catAx>
        <c:axId val="335849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5846944"/>
        <c:crosses val="autoZero"/>
        <c:auto val="1"/>
        <c:lblAlgn val="ctr"/>
        <c:lblOffset val="100"/>
        <c:noMultiLvlLbl val="0"/>
      </c:catAx>
      <c:valAx>
        <c:axId val="335846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Miljoner (Sverige)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5849240"/>
        <c:crosses val="autoZero"/>
        <c:crossBetween val="between"/>
      </c:valAx>
      <c:valAx>
        <c:axId val="437051688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Miljoner (Storbritannien)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8544832"/>
        <c:crosses val="max"/>
        <c:crossBetween val="between"/>
      </c:valAx>
      <c:catAx>
        <c:axId val="438544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3705168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62</xdr:row>
      <xdr:rowOff>0</xdr:rowOff>
    </xdr:from>
    <xdr:to>
      <xdr:col>3</xdr:col>
      <xdr:colOff>1895475</xdr:colOff>
      <xdr:row>76</xdr:row>
      <xdr:rowOff>165100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D1FA69-BB25-4CFA-818E-932C83CEF5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314325</xdr:colOff>
      <xdr:row>1</xdr:row>
      <xdr:rowOff>19050</xdr:rowOff>
    </xdr:from>
    <xdr:to>
      <xdr:col>28</xdr:col>
      <xdr:colOff>9525</xdr:colOff>
      <xdr:row>15</xdr:row>
      <xdr:rowOff>184150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5093BA-7E9A-4DB0-855B-9EBA6AB4A4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statista.com/statistics/281174/uk-population-by-ag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683C4-097C-4C4C-9EFA-F4686671FD43}">
  <dimension ref="A2:M71"/>
  <sheetViews>
    <sheetView workbookViewId="0">
      <selection activeCell="E81" sqref="E81"/>
    </sheetView>
  </sheetViews>
  <sheetFormatPr defaultRowHeight="15" x14ac:dyDescent="0.25"/>
  <cols>
    <col min="3" max="3" width="31" bestFit="1" customWidth="1"/>
    <col min="4" max="4" width="48.5703125" bestFit="1" customWidth="1"/>
    <col min="5" max="5" width="17.28515625" customWidth="1"/>
    <col min="6" max="6" width="34.140625" bestFit="1" customWidth="1"/>
    <col min="7" max="7" width="24.42578125" bestFit="1" customWidth="1"/>
    <col min="8" max="8" width="18.85546875" bestFit="1" customWidth="1"/>
    <col min="10" max="10" width="9.5703125" customWidth="1"/>
    <col min="11" max="11" width="25" bestFit="1" customWidth="1"/>
    <col min="12" max="12" width="24.42578125" bestFit="1" customWidth="1"/>
    <col min="13" max="13" width="9.140625" customWidth="1"/>
    <col min="14" max="14" width="9.5703125" customWidth="1"/>
  </cols>
  <sheetData>
    <row r="2" spans="1:13" x14ac:dyDescent="0.25">
      <c r="B2" t="s">
        <v>15</v>
      </c>
      <c r="C2" t="s">
        <v>20</v>
      </c>
      <c r="D2" t="s">
        <v>62</v>
      </c>
      <c r="E2" t="s">
        <v>63</v>
      </c>
      <c r="G2" t="s">
        <v>26</v>
      </c>
      <c r="H2" t="s">
        <v>13</v>
      </c>
      <c r="I2" t="s">
        <v>6</v>
      </c>
      <c r="L2" t="s">
        <v>65</v>
      </c>
      <c r="M2" t="s">
        <v>46</v>
      </c>
    </row>
    <row r="3" spans="1:13" x14ac:dyDescent="0.25">
      <c r="B3" t="s">
        <v>5</v>
      </c>
      <c r="C3">
        <v>2E-3</v>
      </c>
      <c r="D3">
        <v>3871812</v>
      </c>
      <c r="E3" s="1">
        <f>PRODUCT(C3,D3)</f>
        <v>7743.6239999999998</v>
      </c>
      <c r="G3" s="1">
        <f t="shared" ref="G3:G8" si="0">PRODUCT(E3,0.7)</f>
        <v>5420.5367999999999</v>
      </c>
      <c r="H3">
        <v>50</v>
      </c>
      <c r="I3">
        <f>PRODUCT(G3,H3)</f>
        <v>271026.83999999997</v>
      </c>
      <c r="K3" s="2"/>
      <c r="L3">
        <v>25.07</v>
      </c>
      <c r="M3">
        <f t="shared" ref="M3:M8" si="1">PRODUCT(L3,0.7,C3,1000000)</f>
        <v>35098</v>
      </c>
    </row>
    <row r="4" spans="1:13" x14ac:dyDescent="0.25">
      <c r="B4" t="s">
        <v>0</v>
      </c>
      <c r="C4">
        <v>4.0000000000000001E-3</v>
      </c>
      <c r="D4">
        <v>1298355</v>
      </c>
      <c r="E4" s="1">
        <f t="shared" ref="E4:E8" si="2">PRODUCT(C4,D4)</f>
        <v>5193.42</v>
      </c>
      <c r="G4" s="1">
        <f t="shared" si="0"/>
        <v>3635.3939999999998</v>
      </c>
      <c r="H4">
        <v>30</v>
      </c>
      <c r="I4">
        <f t="shared" ref="I4:I8" si="3">PRODUCT(G4,H4)</f>
        <v>109061.81999999999</v>
      </c>
      <c r="L4">
        <v>8.5</v>
      </c>
      <c r="M4">
        <f t="shared" si="1"/>
        <v>23800</v>
      </c>
    </row>
    <row r="5" spans="1:13" x14ac:dyDescent="0.25">
      <c r="B5" t="s">
        <v>1</v>
      </c>
      <c r="C5">
        <v>1.2999999999999999E-2</v>
      </c>
      <c r="D5">
        <v>1297863</v>
      </c>
      <c r="E5" s="1">
        <f t="shared" si="2"/>
        <v>16872.219000000001</v>
      </c>
      <c r="G5" s="1">
        <f t="shared" si="0"/>
        <v>11810.5533</v>
      </c>
      <c r="H5">
        <v>20</v>
      </c>
      <c r="I5">
        <f t="shared" si="3"/>
        <v>236211.06599999999</v>
      </c>
      <c r="L5">
        <v>8.9600000000000009</v>
      </c>
      <c r="M5">
        <f t="shared" si="1"/>
        <v>81536</v>
      </c>
    </row>
    <row r="6" spans="1:13" x14ac:dyDescent="0.25">
      <c r="B6" t="s">
        <v>2</v>
      </c>
      <c r="C6">
        <v>3.5999999999999997E-2</v>
      </c>
      <c r="D6">
        <v>1108438</v>
      </c>
      <c r="E6" s="1">
        <f t="shared" si="2"/>
        <v>39903.767999999996</v>
      </c>
      <c r="G6" s="1">
        <f t="shared" si="0"/>
        <v>27932.637599999995</v>
      </c>
      <c r="H6">
        <v>10</v>
      </c>
      <c r="I6">
        <f t="shared" si="3"/>
        <v>279326.37599999993</v>
      </c>
      <c r="L6">
        <v>7.07</v>
      </c>
      <c r="M6">
        <f t="shared" si="1"/>
        <v>178164</v>
      </c>
    </row>
    <row r="7" spans="1:13" x14ac:dyDescent="0.25">
      <c r="B7" t="s">
        <v>3</v>
      </c>
      <c r="C7">
        <v>0.08</v>
      </c>
      <c r="D7">
        <v>989013</v>
      </c>
      <c r="E7" s="1">
        <f t="shared" si="2"/>
        <v>79121.040000000008</v>
      </c>
      <c r="G7" s="1">
        <f t="shared" si="0"/>
        <v>55384.728000000003</v>
      </c>
      <c r="H7">
        <v>5</v>
      </c>
      <c r="I7">
        <f t="shared" si="3"/>
        <v>276923.64</v>
      </c>
      <c r="L7">
        <v>5.49</v>
      </c>
      <c r="M7">
        <f t="shared" si="1"/>
        <v>307440</v>
      </c>
    </row>
    <row r="8" spans="1:13" x14ac:dyDescent="0.25">
      <c r="B8" t="s">
        <v>4</v>
      </c>
      <c r="C8">
        <v>0.15</v>
      </c>
      <c r="D8">
        <v>536306</v>
      </c>
      <c r="E8" s="1">
        <f t="shared" si="2"/>
        <v>80445.899999999994</v>
      </c>
      <c r="G8" s="1">
        <f t="shared" si="0"/>
        <v>56312.12999999999</v>
      </c>
      <c r="H8">
        <v>2</v>
      </c>
      <c r="I8">
        <f t="shared" si="3"/>
        <v>112624.25999999998</v>
      </c>
      <c r="L8">
        <v>3.27</v>
      </c>
      <c r="M8">
        <f t="shared" si="1"/>
        <v>343349.99999999994</v>
      </c>
    </row>
    <row r="9" spans="1:13" x14ac:dyDescent="0.25">
      <c r="E9" s="1"/>
      <c r="G9" s="1"/>
    </row>
    <row r="10" spans="1:13" x14ac:dyDescent="0.25">
      <c r="E10" s="1"/>
      <c r="G10" s="1"/>
    </row>
    <row r="11" spans="1:13" x14ac:dyDescent="0.25">
      <c r="A11" t="s">
        <v>64</v>
      </c>
      <c r="D11" t="s">
        <v>66</v>
      </c>
      <c r="E11" s="1"/>
      <c r="G11" s="1"/>
      <c r="I11" s="3">
        <f>SUM(I3:I10)</f>
        <v>1285174.0020000001</v>
      </c>
    </row>
    <row r="12" spans="1:13" x14ac:dyDescent="0.25">
      <c r="E12" s="1"/>
      <c r="G12" s="1"/>
    </row>
    <row r="13" spans="1:13" x14ac:dyDescent="0.25">
      <c r="E13" s="1"/>
      <c r="G13" s="1"/>
    </row>
    <row r="14" spans="1:13" x14ac:dyDescent="0.25">
      <c r="A14" t="s">
        <v>9</v>
      </c>
      <c r="E14" s="1">
        <f>SUM(E3:E13)</f>
        <v>229279.97099999999</v>
      </c>
      <c r="G14" s="1">
        <f>SUM(G3:G13)</f>
        <v>160495.97969999997</v>
      </c>
      <c r="M14">
        <f>SUM(M3:M13)</f>
        <v>969388</v>
      </c>
    </row>
    <row r="17" spans="2:12" x14ac:dyDescent="0.25">
      <c r="C17" t="s">
        <v>7</v>
      </c>
    </row>
    <row r="18" spans="2:12" x14ac:dyDescent="0.25">
      <c r="C18" t="s">
        <v>61</v>
      </c>
    </row>
    <row r="19" spans="2:12" x14ac:dyDescent="0.25">
      <c r="C19" t="s">
        <v>8</v>
      </c>
    </row>
    <row r="21" spans="2:12" x14ac:dyDescent="0.25">
      <c r="C21" t="s">
        <v>14</v>
      </c>
    </row>
    <row r="22" spans="2:12" x14ac:dyDescent="0.25">
      <c r="C22" t="s">
        <v>10</v>
      </c>
    </row>
    <row r="23" spans="2:12" x14ac:dyDescent="0.25">
      <c r="C23" t="s">
        <v>11</v>
      </c>
    </row>
    <row r="25" spans="2:12" x14ac:dyDescent="0.25">
      <c r="C25" t="s">
        <v>12</v>
      </c>
    </row>
    <row r="29" spans="2:12" x14ac:dyDescent="0.25">
      <c r="K29" t="s">
        <v>70</v>
      </c>
      <c r="L29" t="s">
        <v>25</v>
      </c>
    </row>
    <row r="30" spans="2:12" x14ac:dyDescent="0.25">
      <c r="B30" t="s">
        <v>15</v>
      </c>
      <c r="C30" t="s">
        <v>22</v>
      </c>
      <c r="D30" t="s">
        <v>62</v>
      </c>
      <c r="E30" t="s">
        <v>25</v>
      </c>
    </row>
    <row r="31" spans="2:12" x14ac:dyDescent="0.25">
      <c r="B31" t="s">
        <v>16</v>
      </c>
      <c r="C31">
        <v>2.0000000000000002E-5</v>
      </c>
      <c r="D31">
        <v>1225802</v>
      </c>
      <c r="E31">
        <f>PRODUCT(C31,D31,0.8)</f>
        <v>19.612832000000001</v>
      </c>
      <c r="H31">
        <v>70</v>
      </c>
      <c r="I31" s="1">
        <f t="shared" ref="I31:I39" si="4">PRODUCT(E31,H31)</f>
        <v>1372.89824</v>
      </c>
      <c r="K31">
        <v>8.0500000000000007</v>
      </c>
      <c r="L31">
        <f>PRODUCT(K31,1000000,0.7,C31)</f>
        <v>112.7</v>
      </c>
    </row>
    <row r="32" spans="2:12" x14ac:dyDescent="0.25">
      <c r="B32" s="2" t="s">
        <v>19</v>
      </c>
      <c r="C32">
        <v>6.0000000000000002E-5</v>
      </c>
      <c r="D32">
        <v>1177928</v>
      </c>
      <c r="E32">
        <f t="shared" ref="E32:E39" si="5">PRODUCT(C32,D32,0.8)</f>
        <v>56.540544000000004</v>
      </c>
      <c r="H32">
        <v>60</v>
      </c>
      <c r="I32" s="1">
        <f t="shared" si="4"/>
        <v>3392.4326400000004</v>
      </c>
      <c r="K32">
        <v>7.5299999999999994</v>
      </c>
      <c r="L32">
        <f t="shared" ref="L32:L39" si="6">PRODUCT(K32,1000000,0.7,C32)</f>
        <v>316.25999999999993</v>
      </c>
    </row>
    <row r="33" spans="2:12" x14ac:dyDescent="0.25">
      <c r="B33" t="s">
        <v>17</v>
      </c>
      <c r="C33">
        <v>2.9999999999999997E-4</v>
      </c>
      <c r="D33">
        <v>1327395</v>
      </c>
      <c r="E33">
        <f t="shared" si="5"/>
        <v>318.57479999999998</v>
      </c>
      <c r="H33">
        <v>50</v>
      </c>
      <c r="I33" s="1">
        <f t="shared" si="4"/>
        <v>15928.74</v>
      </c>
      <c r="K33">
        <v>8.7100000000000009</v>
      </c>
      <c r="L33">
        <f t="shared" si="6"/>
        <v>1829.1</v>
      </c>
    </row>
    <row r="34" spans="2:12" x14ac:dyDescent="0.25">
      <c r="B34" t="s">
        <v>18</v>
      </c>
      <c r="C34">
        <v>8.0000000000000004E-4</v>
      </c>
      <c r="D34">
        <v>1366489</v>
      </c>
      <c r="E34">
        <f t="shared" si="5"/>
        <v>874.55295999999998</v>
      </c>
      <c r="H34">
        <v>40</v>
      </c>
      <c r="I34" s="1">
        <f t="shared" si="4"/>
        <v>34982.118399999999</v>
      </c>
      <c r="K34">
        <v>8.83</v>
      </c>
      <c r="L34">
        <f t="shared" si="6"/>
        <v>4944.8</v>
      </c>
    </row>
    <row r="35" spans="2:12" x14ac:dyDescent="0.25">
      <c r="B35" t="s">
        <v>0</v>
      </c>
      <c r="C35">
        <v>1.5E-3</v>
      </c>
      <c r="D35">
        <v>1298355</v>
      </c>
      <c r="E35">
        <f t="shared" si="5"/>
        <v>1558.0260000000001</v>
      </c>
      <c r="H35">
        <v>30</v>
      </c>
      <c r="I35" s="1">
        <f t="shared" si="4"/>
        <v>46740.78</v>
      </c>
      <c r="K35">
        <v>8.5</v>
      </c>
      <c r="L35">
        <f t="shared" si="6"/>
        <v>8925</v>
      </c>
    </row>
    <row r="36" spans="2:12" x14ac:dyDescent="0.25">
      <c r="B36" t="s">
        <v>1</v>
      </c>
      <c r="C36">
        <v>6.0000000000000001E-3</v>
      </c>
      <c r="D36">
        <v>1297863</v>
      </c>
      <c r="E36">
        <f t="shared" si="5"/>
        <v>6229.7424000000001</v>
      </c>
      <c r="H36">
        <v>20</v>
      </c>
      <c r="I36" s="1">
        <f t="shared" si="4"/>
        <v>124594.848</v>
      </c>
      <c r="K36">
        <v>8.9600000000000009</v>
      </c>
      <c r="L36">
        <f t="shared" si="6"/>
        <v>37632</v>
      </c>
    </row>
    <row r="37" spans="2:12" x14ac:dyDescent="0.25">
      <c r="B37" t="s">
        <v>2</v>
      </c>
      <c r="C37">
        <v>2.1999999999999999E-2</v>
      </c>
      <c r="D37">
        <v>1108438</v>
      </c>
      <c r="E37">
        <f t="shared" si="5"/>
        <v>19508.5088</v>
      </c>
      <c r="H37">
        <v>10</v>
      </c>
      <c r="I37" s="1">
        <f t="shared" si="4"/>
        <v>195085.08799999999</v>
      </c>
      <c r="K37">
        <v>7.07</v>
      </c>
      <c r="L37">
        <f t="shared" si="6"/>
        <v>108878</v>
      </c>
    </row>
    <row r="38" spans="2:12" x14ac:dyDescent="0.25">
      <c r="B38" t="s">
        <v>3</v>
      </c>
      <c r="C38">
        <v>5.0999999999999997E-2</v>
      </c>
      <c r="D38">
        <v>989013</v>
      </c>
      <c r="E38">
        <f t="shared" si="5"/>
        <v>40351.7304</v>
      </c>
      <c r="H38">
        <v>5</v>
      </c>
      <c r="I38" s="1">
        <f t="shared" si="4"/>
        <v>201758.652</v>
      </c>
      <c r="K38">
        <v>5.49</v>
      </c>
      <c r="L38">
        <f t="shared" si="6"/>
        <v>195992.99999999997</v>
      </c>
    </row>
    <row r="39" spans="2:12" x14ac:dyDescent="0.25">
      <c r="B39" t="s">
        <v>4</v>
      </c>
      <c r="C39">
        <v>9.2999999999999999E-2</v>
      </c>
      <c r="D39">
        <v>536306</v>
      </c>
      <c r="E39">
        <f t="shared" si="5"/>
        <v>39901.166400000002</v>
      </c>
      <c r="H39">
        <v>2</v>
      </c>
      <c r="I39" s="1">
        <f t="shared" si="4"/>
        <v>79802.332800000004</v>
      </c>
      <c r="K39">
        <v>3.27</v>
      </c>
      <c r="L39">
        <f t="shared" si="6"/>
        <v>212877</v>
      </c>
    </row>
    <row r="40" spans="2:12" x14ac:dyDescent="0.25">
      <c r="I40" s="1"/>
    </row>
    <row r="41" spans="2:12" x14ac:dyDescent="0.25">
      <c r="D41" t="s">
        <v>24</v>
      </c>
      <c r="E41" s="3">
        <f>SUM(E31:E40)</f>
        <v>108818.455136</v>
      </c>
      <c r="F41" t="s">
        <v>68</v>
      </c>
      <c r="I41" s="4">
        <f>SUM(I31:I40)</f>
        <v>703657.89007999992</v>
      </c>
      <c r="K41">
        <f>SUM(K31:K40)</f>
        <v>66.41</v>
      </c>
      <c r="L41">
        <f>SUM(L31:L40)</f>
        <v>571507.86</v>
      </c>
    </row>
    <row r="42" spans="2:12" x14ac:dyDescent="0.25">
      <c r="I42" t="s">
        <v>67</v>
      </c>
    </row>
    <row r="43" spans="2:12" x14ac:dyDescent="0.25">
      <c r="C43" t="s">
        <v>21</v>
      </c>
      <c r="I43" t="s">
        <v>69</v>
      </c>
    </row>
    <row r="44" spans="2:12" x14ac:dyDescent="0.25">
      <c r="C44" t="s">
        <v>23</v>
      </c>
      <c r="L44" s="7">
        <f>PRODUCT(510000/L41)</f>
        <v>0.89237617834337402</v>
      </c>
    </row>
    <row r="45" spans="2:12" x14ac:dyDescent="0.25">
      <c r="L45" t="s">
        <v>52</v>
      </c>
    </row>
    <row r="46" spans="2:12" x14ac:dyDescent="0.25">
      <c r="E46" t="s">
        <v>25</v>
      </c>
      <c r="L46" t="s">
        <v>53</v>
      </c>
    </row>
    <row r="47" spans="2:12" x14ac:dyDescent="0.25">
      <c r="C47" t="s">
        <v>22</v>
      </c>
      <c r="D47" t="s">
        <v>51</v>
      </c>
      <c r="L47" t="s">
        <v>54</v>
      </c>
    </row>
    <row r="48" spans="2:12" x14ac:dyDescent="0.25">
      <c r="B48" t="s">
        <v>16</v>
      </c>
      <c r="C48">
        <v>2.0000000000000002E-5</v>
      </c>
      <c r="D48">
        <v>1251876.0947146516</v>
      </c>
      <c r="E48">
        <f>PRODUCT(C48,D48,0.8)</f>
        <v>20.030017515434427</v>
      </c>
    </row>
    <row r="49" spans="2:6" x14ac:dyDescent="0.25">
      <c r="B49" s="2" t="s">
        <v>19</v>
      </c>
      <c r="C49">
        <v>6.0000000000000002E-5</v>
      </c>
      <c r="D49">
        <v>1171009.5643728354</v>
      </c>
      <c r="E49">
        <f t="shared" ref="E49:E56" si="7">PRODUCT(C49,D49,0.8)</f>
        <v>56.208459089896103</v>
      </c>
    </row>
    <row r="50" spans="2:6" x14ac:dyDescent="0.25">
      <c r="B50" t="s">
        <v>17</v>
      </c>
      <c r="C50">
        <v>2.9999999999999997E-4</v>
      </c>
      <c r="D50">
        <v>1354514.3832254182</v>
      </c>
      <c r="E50">
        <f t="shared" si="7"/>
        <v>325.08345197410034</v>
      </c>
    </row>
    <row r="51" spans="2:6" x14ac:dyDescent="0.25">
      <c r="B51" t="s">
        <v>18</v>
      </c>
      <c r="C51">
        <v>8.0000000000000004E-4</v>
      </c>
      <c r="D51">
        <v>1373175.8902273753</v>
      </c>
      <c r="E51">
        <f t="shared" si="7"/>
        <v>878.83256974552023</v>
      </c>
    </row>
    <row r="52" spans="2:6" x14ac:dyDescent="0.25">
      <c r="B52" t="s">
        <v>0</v>
      </c>
      <c r="C52">
        <v>1.5E-3</v>
      </c>
      <c r="D52">
        <v>1321856.7459719921</v>
      </c>
      <c r="E52">
        <f t="shared" si="7"/>
        <v>1586.2280951663906</v>
      </c>
    </row>
    <row r="53" spans="2:6" x14ac:dyDescent="0.25">
      <c r="B53" t="s">
        <v>1</v>
      </c>
      <c r="C53">
        <v>6.0000000000000001E-3</v>
      </c>
      <c r="D53">
        <v>1393392.5228128296</v>
      </c>
      <c r="E53">
        <f t="shared" si="7"/>
        <v>6688.2841095015829</v>
      </c>
    </row>
    <row r="54" spans="2:6" x14ac:dyDescent="0.25">
      <c r="B54" t="s">
        <v>2</v>
      </c>
      <c r="C54">
        <v>2.1999999999999999E-2</v>
      </c>
      <c r="D54">
        <v>1099473.7875319982</v>
      </c>
      <c r="E54">
        <f t="shared" si="7"/>
        <v>19350.738660563169</v>
      </c>
    </row>
    <row r="55" spans="2:6" x14ac:dyDescent="0.25">
      <c r="B55" t="s">
        <v>3</v>
      </c>
      <c r="C55">
        <v>5.0999999999999997E-2</v>
      </c>
      <c r="D55">
        <v>853763.94533955748</v>
      </c>
      <c r="E55">
        <f t="shared" si="7"/>
        <v>34833.568969853943</v>
      </c>
    </row>
    <row r="56" spans="2:6" x14ac:dyDescent="0.25">
      <c r="B56" t="s">
        <v>4</v>
      </c>
      <c r="C56">
        <v>9.2999999999999999E-2</v>
      </c>
      <c r="D56">
        <v>508526.06580334285</v>
      </c>
      <c r="E56">
        <f t="shared" si="7"/>
        <v>37834.33929576871</v>
      </c>
    </row>
    <row r="59" spans="2:6" x14ac:dyDescent="0.25">
      <c r="B59" t="s">
        <v>72</v>
      </c>
      <c r="D59">
        <f>SUM(D48:D58)</f>
        <v>10327589.000000002</v>
      </c>
    </row>
    <row r="60" spans="2:6" x14ac:dyDescent="0.25">
      <c r="E60">
        <f>SUM(E48:E59)</f>
        <v>101573.31362917874</v>
      </c>
      <c r="F60" t="s">
        <v>73</v>
      </c>
    </row>
    <row r="62" spans="2:6" x14ac:dyDescent="0.25">
      <c r="E62" s="7">
        <f>SUM(E41,-E60)</f>
        <v>7245.1415068212664</v>
      </c>
      <c r="F62" t="s">
        <v>71</v>
      </c>
    </row>
    <row r="65" spans="5:6" x14ac:dyDescent="0.25">
      <c r="E65">
        <f>PRODUCT(E60,L44)</f>
        <v>90641.605438079467</v>
      </c>
      <c r="F65" t="s">
        <v>74</v>
      </c>
    </row>
    <row r="67" spans="5:6" x14ac:dyDescent="0.25">
      <c r="E67">
        <f>SUM(E60,-E65)</f>
        <v>10931.708191099271</v>
      </c>
      <c r="F67" t="s">
        <v>75</v>
      </c>
    </row>
    <row r="69" spans="5:6" x14ac:dyDescent="0.25">
      <c r="E69">
        <f>PRODUCT(510/(K41*1000),D59)</f>
        <v>79311.404758319535</v>
      </c>
      <c r="F69" t="s">
        <v>76</v>
      </c>
    </row>
    <row r="71" spans="5:6" x14ac:dyDescent="0.25">
      <c r="E71">
        <f>SUM(E65,-E69)</f>
        <v>11330.200679759932</v>
      </c>
      <c r="F71" t="s">
        <v>77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F8697-A913-4D05-9D82-E02DDBDB0D4D}">
  <dimension ref="A1:Q46"/>
  <sheetViews>
    <sheetView tabSelected="1" workbookViewId="0">
      <selection activeCell="F9" sqref="F9"/>
    </sheetView>
  </sheetViews>
  <sheetFormatPr defaultRowHeight="15" x14ac:dyDescent="0.25"/>
  <cols>
    <col min="2" max="2" width="25.5703125" bestFit="1" customWidth="1"/>
  </cols>
  <sheetData>
    <row r="1" spans="1:17" x14ac:dyDescent="0.25">
      <c r="A1" t="s">
        <v>15</v>
      </c>
      <c r="B1" t="s">
        <v>78</v>
      </c>
      <c r="D1" t="s">
        <v>15</v>
      </c>
      <c r="F1" t="s">
        <v>79</v>
      </c>
    </row>
    <row r="2" spans="1:17" x14ac:dyDescent="0.25">
      <c r="A2" s="2" t="s">
        <v>27</v>
      </c>
      <c r="B2">
        <v>3.91</v>
      </c>
      <c r="F2" s="8" t="s">
        <v>80</v>
      </c>
    </row>
    <row r="3" spans="1:17" x14ac:dyDescent="0.25">
      <c r="A3" s="2" t="s">
        <v>28</v>
      </c>
      <c r="B3">
        <v>4.1399999999999997</v>
      </c>
      <c r="C3">
        <f>SUM(B2:B3)</f>
        <v>8.0500000000000007</v>
      </c>
      <c r="D3" t="s">
        <v>16</v>
      </c>
    </row>
    <row r="4" spans="1:17" x14ac:dyDescent="0.25">
      <c r="A4" s="2" t="s">
        <v>29</v>
      </c>
      <c r="B4">
        <v>3.86</v>
      </c>
    </row>
    <row r="5" spans="1:17" x14ac:dyDescent="0.25">
      <c r="A5" s="2" t="s">
        <v>30</v>
      </c>
      <c r="B5">
        <v>3.67</v>
      </c>
      <c r="C5">
        <f>SUM(B4:B5)</f>
        <v>7.5299999999999994</v>
      </c>
      <c r="D5" s="2" t="s">
        <v>19</v>
      </c>
    </row>
    <row r="6" spans="1:17" x14ac:dyDescent="0.25">
      <c r="A6" s="2" t="s">
        <v>31</v>
      </c>
      <c r="B6">
        <v>4.18</v>
      </c>
    </row>
    <row r="7" spans="1:17" x14ac:dyDescent="0.25">
      <c r="A7" s="2" t="s">
        <v>32</v>
      </c>
      <c r="B7">
        <v>4.53</v>
      </c>
      <c r="C7">
        <f>SUM(B6:B7)</f>
        <v>8.7100000000000009</v>
      </c>
      <c r="D7" t="s">
        <v>17</v>
      </c>
    </row>
    <row r="8" spans="1:17" x14ac:dyDescent="0.25">
      <c r="A8" s="2" t="s">
        <v>33</v>
      </c>
      <c r="B8">
        <v>4.46</v>
      </c>
    </row>
    <row r="9" spans="1:17" x14ac:dyDescent="0.25">
      <c r="A9" s="2" t="s">
        <v>34</v>
      </c>
      <c r="B9">
        <v>4.37</v>
      </c>
      <c r="C9">
        <f>SUM(B8:B9)</f>
        <v>8.83</v>
      </c>
      <c r="D9" t="s">
        <v>18</v>
      </c>
      <c r="F9" t="s">
        <v>87</v>
      </c>
      <c r="G9" t="s">
        <v>84</v>
      </c>
      <c r="K9" t="s">
        <v>82</v>
      </c>
      <c r="N9" t="s">
        <v>81</v>
      </c>
    </row>
    <row r="10" spans="1:17" x14ac:dyDescent="0.25">
      <c r="A10" s="2" t="s">
        <v>35</v>
      </c>
      <c r="B10">
        <v>3.99</v>
      </c>
      <c r="G10" t="s">
        <v>85</v>
      </c>
      <c r="H10" t="s">
        <v>86</v>
      </c>
      <c r="J10" t="s">
        <v>15</v>
      </c>
      <c r="K10" t="s">
        <v>47</v>
      </c>
      <c r="L10" t="s">
        <v>48</v>
      </c>
      <c r="N10" t="s">
        <v>49</v>
      </c>
      <c r="O10" t="s">
        <v>50</v>
      </c>
      <c r="Q10" t="s">
        <v>83</v>
      </c>
    </row>
    <row r="11" spans="1:17" x14ac:dyDescent="0.25">
      <c r="A11" s="2" t="s">
        <v>36</v>
      </c>
      <c r="B11">
        <v>4.51</v>
      </c>
      <c r="C11">
        <f>SUM(B10:B11)</f>
        <v>8.5</v>
      </c>
      <c r="D11" t="s">
        <v>0</v>
      </c>
      <c r="F11">
        <v>8.0500000000000007</v>
      </c>
      <c r="G11">
        <v>1225802</v>
      </c>
      <c r="H11" s="5">
        <f>PRODUCT(G11/1000000)</f>
        <v>1.2258020000000001</v>
      </c>
      <c r="J11" t="s">
        <v>16</v>
      </c>
      <c r="K11" s="5">
        <v>1.2258020000000001</v>
      </c>
      <c r="L11">
        <v>8.0500000000000007</v>
      </c>
      <c r="N11" s="6">
        <f>PRODUCT(K11/10.32759,100)</f>
        <v>11.869196976254868</v>
      </c>
      <c r="O11" s="6">
        <f>PRODUCT(F11/66.41,100)</f>
        <v>12.121668423430208</v>
      </c>
      <c r="Q11">
        <f>PRODUCT(O11/100,10327589)</f>
        <v>1251876.0947146516</v>
      </c>
    </row>
    <row r="12" spans="1:17" x14ac:dyDescent="0.25">
      <c r="A12" s="2" t="s">
        <v>37</v>
      </c>
      <c r="B12">
        <v>4.67</v>
      </c>
      <c r="F12">
        <v>7.5299999999999994</v>
      </c>
      <c r="G12">
        <v>1177928</v>
      </c>
      <c r="H12" s="5">
        <f t="shared" ref="H12:H19" si="0">PRODUCT(G12/1000000)</f>
        <v>1.1779280000000001</v>
      </c>
      <c r="J12" s="2" t="s">
        <v>19</v>
      </c>
      <c r="K12" s="5">
        <v>1.1779280000000001</v>
      </c>
      <c r="L12">
        <v>7.5299999999999994</v>
      </c>
      <c r="N12" s="6">
        <f t="shared" ref="N12:N19" si="1">PRODUCT(K12/10.32759,100)</f>
        <v>11.405642555523603</v>
      </c>
      <c r="O12" s="6">
        <f t="shared" ref="O12:O23" si="2">PRODUCT(F12/66.41,100)</f>
        <v>11.338653817196205</v>
      </c>
      <c r="Q12">
        <f t="shared" ref="Q12:Q19" si="3">PRODUCT(O12/100,10327589)</f>
        <v>1171009.5643728354</v>
      </c>
    </row>
    <row r="13" spans="1:17" x14ac:dyDescent="0.25">
      <c r="A13" s="2" t="s">
        <v>38</v>
      </c>
      <c r="B13">
        <v>4.29</v>
      </c>
      <c r="C13">
        <f>SUM(B12:B13)</f>
        <v>8.9600000000000009</v>
      </c>
      <c r="D13" t="s">
        <v>1</v>
      </c>
      <c r="F13">
        <v>8.7100000000000009</v>
      </c>
      <c r="G13">
        <v>1327395</v>
      </c>
      <c r="H13" s="5">
        <f t="shared" si="0"/>
        <v>1.3273950000000001</v>
      </c>
      <c r="J13" t="s">
        <v>17</v>
      </c>
      <c r="K13" s="5">
        <v>1.3273950000000001</v>
      </c>
      <c r="L13">
        <v>8.7100000000000009</v>
      </c>
      <c r="N13" s="6">
        <f t="shared" si="1"/>
        <v>12.8529017902531</v>
      </c>
      <c r="O13" s="6">
        <f t="shared" si="2"/>
        <v>13.115494654419518</v>
      </c>
      <c r="Q13">
        <f t="shared" si="3"/>
        <v>1354514.3832254182</v>
      </c>
    </row>
    <row r="14" spans="1:17" x14ac:dyDescent="0.25">
      <c r="A14" s="2" t="s">
        <v>39</v>
      </c>
      <c r="B14">
        <v>3.67</v>
      </c>
      <c r="F14">
        <v>8.83</v>
      </c>
      <c r="G14">
        <v>1366489</v>
      </c>
      <c r="H14" s="5">
        <f t="shared" si="0"/>
        <v>1.3664890000000001</v>
      </c>
      <c r="J14" t="s">
        <v>18</v>
      </c>
      <c r="K14" s="5">
        <v>1.3664890000000001</v>
      </c>
      <c r="L14">
        <v>8.83</v>
      </c>
      <c r="N14" s="6">
        <f t="shared" si="1"/>
        <v>13.231441217166831</v>
      </c>
      <c r="O14" s="6">
        <f t="shared" si="2"/>
        <v>13.296190332781208</v>
      </c>
      <c r="Q14">
        <f t="shared" si="3"/>
        <v>1373175.8902273753</v>
      </c>
    </row>
    <row r="15" spans="1:17" x14ac:dyDescent="0.25">
      <c r="A15" s="2" t="s">
        <v>41</v>
      </c>
      <c r="B15">
        <v>3.4</v>
      </c>
      <c r="C15">
        <f>SUM(B14:B15)</f>
        <v>7.07</v>
      </c>
      <c r="D15" t="s">
        <v>2</v>
      </c>
      <c r="F15">
        <v>8.5</v>
      </c>
      <c r="G15">
        <v>1298355</v>
      </c>
      <c r="H15" s="5">
        <f t="shared" si="0"/>
        <v>1.2983549999999999</v>
      </c>
      <c r="J15" t="s">
        <v>0</v>
      </c>
      <c r="K15" s="5">
        <v>1.2983549999999999</v>
      </c>
      <c r="L15">
        <v>8.5</v>
      </c>
      <c r="N15" s="6">
        <f t="shared" si="1"/>
        <v>12.571713245781444</v>
      </c>
      <c r="O15" s="6">
        <f t="shared" si="2"/>
        <v>12.799277217286553</v>
      </c>
      <c r="Q15">
        <f t="shared" si="3"/>
        <v>1321856.7459719921</v>
      </c>
    </row>
    <row r="16" spans="1:17" x14ac:dyDescent="0.25">
      <c r="A16" s="2" t="s">
        <v>40</v>
      </c>
      <c r="B16">
        <v>3.25</v>
      </c>
      <c r="F16">
        <v>8.9600000000000009</v>
      </c>
      <c r="G16">
        <v>1297863</v>
      </c>
      <c r="H16" s="5">
        <f t="shared" si="0"/>
        <v>1.297863</v>
      </c>
      <c r="J16" t="s">
        <v>1</v>
      </c>
      <c r="K16" s="5">
        <v>1.297863</v>
      </c>
      <c r="L16">
        <v>8.9600000000000009</v>
      </c>
      <c r="N16" s="6">
        <f t="shared" si="1"/>
        <v>12.566949307631306</v>
      </c>
      <c r="O16" s="6">
        <f t="shared" si="2"/>
        <v>13.491943984339711</v>
      </c>
      <c r="Q16">
        <f t="shared" si="3"/>
        <v>1393392.5228128296</v>
      </c>
    </row>
    <row r="17" spans="1:17" x14ac:dyDescent="0.25">
      <c r="A17" s="2" t="s">
        <v>42</v>
      </c>
      <c r="B17">
        <v>2.2400000000000002</v>
      </c>
      <c r="C17">
        <f>SUM(B16:B17)</f>
        <v>5.49</v>
      </c>
      <c r="D17" t="s">
        <v>3</v>
      </c>
      <c r="F17">
        <v>7.07</v>
      </c>
      <c r="G17">
        <v>1108438</v>
      </c>
      <c r="H17" s="5">
        <f t="shared" si="0"/>
        <v>1.108438</v>
      </c>
      <c r="J17" t="s">
        <v>2</v>
      </c>
      <c r="K17" s="5">
        <v>1.108438</v>
      </c>
      <c r="L17">
        <v>7.07</v>
      </c>
      <c r="N17" s="6">
        <f t="shared" si="1"/>
        <v>10.732784705821977</v>
      </c>
      <c r="O17" s="6">
        <f t="shared" si="2"/>
        <v>10.645987050143052</v>
      </c>
      <c r="Q17">
        <f t="shared" si="3"/>
        <v>1099473.7875319982</v>
      </c>
    </row>
    <row r="18" spans="1:17" x14ac:dyDescent="0.25">
      <c r="A18" s="2" t="s">
        <v>43</v>
      </c>
      <c r="B18">
        <v>1.67</v>
      </c>
      <c r="F18">
        <v>5.49</v>
      </c>
      <c r="G18">
        <v>989013</v>
      </c>
      <c r="H18" s="5">
        <f t="shared" si="0"/>
        <v>0.98901300000000003</v>
      </c>
      <c r="J18" t="s">
        <v>3</v>
      </c>
      <c r="K18" s="5">
        <v>0.98901300000000003</v>
      </c>
      <c r="L18">
        <v>5.49</v>
      </c>
      <c r="N18" s="6">
        <f t="shared" si="1"/>
        <v>9.5764161822845395</v>
      </c>
      <c r="O18" s="6">
        <f t="shared" si="2"/>
        <v>8.2668272850474338</v>
      </c>
      <c r="Q18">
        <f t="shared" si="3"/>
        <v>853763.94533955748</v>
      </c>
    </row>
    <row r="19" spans="1:17" x14ac:dyDescent="0.25">
      <c r="A19" s="2" t="s">
        <v>44</v>
      </c>
      <c r="B19">
        <v>1.02</v>
      </c>
      <c r="F19">
        <v>3.27</v>
      </c>
      <c r="G19">
        <v>536306</v>
      </c>
      <c r="H19" s="5">
        <f t="shared" si="0"/>
        <v>0.53630599999999995</v>
      </c>
      <c r="J19" t="s">
        <v>4</v>
      </c>
      <c r="K19" s="5">
        <v>0.53630599999999995</v>
      </c>
      <c r="L19">
        <v>3.27</v>
      </c>
      <c r="N19" s="6">
        <f t="shared" si="1"/>
        <v>5.1929443364812107</v>
      </c>
      <c r="O19" s="6">
        <f t="shared" si="2"/>
        <v>4.923957235356121</v>
      </c>
      <c r="Q19">
        <f t="shared" si="3"/>
        <v>508526.06580334285</v>
      </c>
    </row>
    <row r="20" spans="1:17" x14ac:dyDescent="0.25">
      <c r="A20" s="2" t="s">
        <v>45</v>
      </c>
      <c r="B20">
        <v>0.57999999999999996</v>
      </c>
      <c r="C20">
        <f>SUM(B18:B20)</f>
        <v>3.27</v>
      </c>
      <c r="D20" t="s">
        <v>4</v>
      </c>
      <c r="N20" s="6"/>
    </row>
    <row r="21" spans="1:17" x14ac:dyDescent="0.25">
      <c r="A21" s="2"/>
      <c r="N21" s="6"/>
    </row>
    <row r="22" spans="1:17" x14ac:dyDescent="0.25">
      <c r="N22" s="6"/>
    </row>
    <row r="23" spans="1:17" x14ac:dyDescent="0.25">
      <c r="B23">
        <f>SUM(B2:B22)</f>
        <v>66.41</v>
      </c>
      <c r="C23">
        <f>SUM(B23)</f>
        <v>66.41</v>
      </c>
      <c r="F23">
        <f>SUM(F11:F22)</f>
        <v>66.41</v>
      </c>
      <c r="G23">
        <f>SUM(G11:G22)</f>
        <v>10327589</v>
      </c>
      <c r="H23">
        <f>SUM(H11:H22)</f>
        <v>10.327589</v>
      </c>
      <c r="L23">
        <f>PRODUCT(0.51/F23,H23)</f>
        <v>7.9311404758319534E-2</v>
      </c>
      <c r="N23" s="6">
        <f>SUM(N11:N22)</f>
        <v>99.999990317198879</v>
      </c>
      <c r="O23">
        <f t="shared" si="2"/>
        <v>100</v>
      </c>
      <c r="Q23">
        <f>SUM(Q11:Q22)</f>
        <v>10327589.000000002</v>
      </c>
    </row>
    <row r="28" spans="1:17" x14ac:dyDescent="0.25">
      <c r="D28" t="s">
        <v>25</v>
      </c>
    </row>
    <row r="29" spans="1:17" x14ac:dyDescent="0.25">
      <c r="B29" t="s">
        <v>22</v>
      </c>
      <c r="C29" t="s">
        <v>51</v>
      </c>
    </row>
    <row r="30" spans="1:17" x14ac:dyDescent="0.25">
      <c r="A30" t="s">
        <v>16</v>
      </c>
      <c r="B30">
        <v>2.0000000000000002E-5</v>
      </c>
      <c r="C30">
        <v>1251876.0947146516</v>
      </c>
      <c r="D30">
        <f>PRODUCT(B30,C30,0.8)</f>
        <v>20.030017515434427</v>
      </c>
    </row>
    <row r="31" spans="1:17" x14ac:dyDescent="0.25">
      <c r="A31" s="2" t="s">
        <v>19</v>
      </c>
      <c r="B31">
        <v>6.0000000000000002E-5</v>
      </c>
      <c r="C31">
        <v>1171009.5643728354</v>
      </c>
      <c r="D31">
        <f t="shared" ref="D31:D38" si="4">PRODUCT(B31,C31,0.8)</f>
        <v>56.208459089896103</v>
      </c>
    </row>
    <row r="32" spans="1:17" x14ac:dyDescent="0.25">
      <c r="A32" t="s">
        <v>17</v>
      </c>
      <c r="B32">
        <v>2.9999999999999997E-4</v>
      </c>
      <c r="C32">
        <v>1354514.3832254182</v>
      </c>
      <c r="D32">
        <f t="shared" si="4"/>
        <v>325.08345197410034</v>
      </c>
    </row>
    <row r="33" spans="1:14" x14ac:dyDescent="0.25">
      <c r="A33" t="s">
        <v>18</v>
      </c>
      <c r="B33">
        <v>8.0000000000000004E-4</v>
      </c>
      <c r="C33">
        <v>1373175.8902273753</v>
      </c>
      <c r="D33">
        <f t="shared" si="4"/>
        <v>878.83256974552023</v>
      </c>
    </row>
    <row r="34" spans="1:14" x14ac:dyDescent="0.25">
      <c r="A34" t="s">
        <v>0</v>
      </c>
      <c r="B34">
        <v>1.5E-3</v>
      </c>
      <c r="C34">
        <v>1321856.7459719921</v>
      </c>
      <c r="D34">
        <f t="shared" si="4"/>
        <v>1586.2280951663906</v>
      </c>
    </row>
    <row r="35" spans="1:14" x14ac:dyDescent="0.25">
      <c r="A35" t="s">
        <v>1</v>
      </c>
      <c r="B35">
        <v>6.0000000000000001E-3</v>
      </c>
      <c r="C35">
        <v>1393392.5228128296</v>
      </c>
      <c r="D35">
        <f t="shared" si="4"/>
        <v>6688.2841095015829</v>
      </c>
    </row>
    <row r="36" spans="1:14" x14ac:dyDescent="0.25">
      <c r="A36" t="s">
        <v>2</v>
      </c>
      <c r="B36">
        <v>2.1999999999999999E-2</v>
      </c>
      <c r="C36">
        <v>1099473.7875319982</v>
      </c>
      <c r="D36">
        <f t="shared" si="4"/>
        <v>19350.738660563169</v>
      </c>
    </row>
    <row r="37" spans="1:14" x14ac:dyDescent="0.25">
      <c r="A37" t="s">
        <v>3</v>
      </c>
      <c r="B37">
        <v>5.0999999999999997E-2</v>
      </c>
      <c r="C37">
        <v>853763.94533955748</v>
      </c>
      <c r="D37">
        <f t="shared" si="4"/>
        <v>34833.568969853943</v>
      </c>
    </row>
    <row r="38" spans="1:14" x14ac:dyDescent="0.25">
      <c r="A38" t="s">
        <v>4</v>
      </c>
      <c r="B38">
        <v>9.2999999999999999E-2</v>
      </c>
      <c r="C38">
        <v>508526.06580334285</v>
      </c>
      <c r="D38">
        <f t="shared" si="4"/>
        <v>37834.33929576871</v>
      </c>
    </row>
    <row r="42" spans="1:14" x14ac:dyDescent="0.25">
      <c r="D42">
        <f>SUM(D30:D41)</f>
        <v>101573.31362917874</v>
      </c>
      <c r="F42" s="7">
        <v>0.89237617834337402</v>
      </c>
      <c r="H42">
        <f>PRODUCT(D42,F42)</f>
        <v>90641.605438079467</v>
      </c>
    </row>
    <row r="44" spans="1:14" x14ac:dyDescent="0.25">
      <c r="F44" t="s">
        <v>55</v>
      </c>
      <c r="J44" t="s">
        <v>57</v>
      </c>
      <c r="K44" t="s">
        <v>58</v>
      </c>
      <c r="L44" t="s">
        <v>59</v>
      </c>
      <c r="N44" t="s">
        <v>60</v>
      </c>
    </row>
    <row r="46" spans="1:14" x14ac:dyDescent="0.25">
      <c r="D46" t="s">
        <v>56</v>
      </c>
      <c r="J46">
        <v>510</v>
      </c>
      <c r="K46">
        <v>66410</v>
      </c>
      <c r="L46">
        <v>10326</v>
      </c>
      <c r="N46">
        <f>PRODUCT(J46/K46,L46)</f>
        <v>79.299201927420569</v>
      </c>
    </row>
  </sheetData>
  <hyperlinks>
    <hyperlink ref="F2" r:id="rId1" xr:uid="{5F152422-60FB-4D5F-A332-E4FB51FA92FE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Beräkningsmodell coronadöd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 Bergman</dc:creator>
  <cp:lastModifiedBy>Mats Bergman</cp:lastModifiedBy>
  <dcterms:created xsi:type="dcterms:W3CDTF">2020-03-17T15:30:11Z</dcterms:created>
  <dcterms:modified xsi:type="dcterms:W3CDTF">2020-03-21T07:52:11Z</dcterms:modified>
</cp:coreProperties>
</file>